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408" windowHeight="5136" firstSheet="1" activeTab="1"/>
  </bookViews>
  <sheets>
    <sheet name="исход_данные" sheetId="1" r:id="rId1"/>
    <sheet name="формы" sheetId="2" r:id="rId2"/>
  </sheets>
  <definedNames>
    <definedName name="_xlnm.Print_Area" localSheetId="0">'исход_данные'!$A$1:$G$56</definedName>
  </definedNames>
  <calcPr fullCalcOnLoad="1"/>
</workbook>
</file>

<file path=xl/comments2.xml><?xml version="1.0" encoding="utf-8"?>
<comments xmlns="http://schemas.openxmlformats.org/spreadsheetml/2006/main">
  <authors>
    <author>Артем</author>
  </authors>
  <commentList>
    <comment ref="E4" authorId="0">
      <text>
        <r>
          <rPr>
            <b/>
            <sz val="8"/>
            <rFont val="Tahoma"/>
            <family val="0"/>
          </rPr>
          <t>Артем:</t>
        </r>
        <r>
          <rPr>
            <sz val="8"/>
            <rFont val="Tahoma"/>
            <family val="0"/>
          </rPr>
          <t xml:space="preserve">
без НДС</t>
        </r>
      </text>
    </comment>
    <comment ref="F4" authorId="0">
      <text>
        <r>
          <rPr>
            <b/>
            <sz val="8"/>
            <rFont val="Tahoma"/>
            <family val="0"/>
          </rPr>
          <t>Артем:</t>
        </r>
        <r>
          <rPr>
            <sz val="8"/>
            <rFont val="Tahoma"/>
            <family val="0"/>
          </rPr>
          <t xml:space="preserve">
без НСП и НДС</t>
        </r>
      </text>
    </comment>
    <comment ref="G4" authorId="0">
      <text>
        <r>
          <rPr>
            <b/>
            <sz val="8"/>
            <rFont val="Tahoma"/>
            <family val="0"/>
          </rPr>
          <t>Артем:</t>
        </r>
        <r>
          <rPr>
            <sz val="8"/>
            <rFont val="Tahoma"/>
            <family val="0"/>
          </rPr>
          <t xml:space="preserve">
без НДС И НСП</t>
        </r>
      </text>
    </comment>
  </commentList>
</comments>
</file>

<file path=xl/sharedStrings.xml><?xml version="1.0" encoding="utf-8"?>
<sst xmlns="http://schemas.openxmlformats.org/spreadsheetml/2006/main" count="140" uniqueCount="79">
  <si>
    <t>Расчетные таблицы</t>
  </si>
  <si>
    <t>Таблица 1. Выручка и косвенные налоги, тыс. руб.</t>
  </si>
  <si>
    <t>Виды бизнеса</t>
  </si>
  <si>
    <t>Всего</t>
  </si>
  <si>
    <t>выручка</t>
  </si>
  <si>
    <t>НДС</t>
  </si>
  <si>
    <t>НСП</t>
  </si>
  <si>
    <t>1. Прокат легковых автомобилей</t>
  </si>
  <si>
    <t>2. Ремонт легковых автомобилей</t>
  </si>
  <si>
    <t>3. Продажа легковых автомобилей</t>
  </si>
  <si>
    <t>4. Продажа запчастей</t>
  </si>
  <si>
    <t xml:space="preserve">5. Сдача помещений в аренду </t>
  </si>
  <si>
    <t>наличные</t>
  </si>
  <si>
    <t>безналичные</t>
  </si>
  <si>
    <t xml:space="preserve">Выручка за </t>
  </si>
  <si>
    <t xml:space="preserve">Выручка </t>
  </si>
  <si>
    <t>Таблица 2. Выручка и прямые издержки, тыс. руб.</t>
  </si>
  <si>
    <t xml:space="preserve">Всего прямые </t>
  </si>
  <si>
    <t>расходы</t>
  </si>
  <si>
    <t>в том числе</t>
  </si>
  <si>
    <t>матер.</t>
  </si>
  <si>
    <t>зарплат</t>
  </si>
  <si>
    <t>ЕСН</t>
  </si>
  <si>
    <t>страхов.</t>
  </si>
  <si>
    <t>Доля прямых расходов</t>
  </si>
  <si>
    <t>автомоб.</t>
  </si>
  <si>
    <t>ремонт</t>
  </si>
  <si>
    <t xml:space="preserve">продажа </t>
  </si>
  <si>
    <t>запчастей</t>
  </si>
  <si>
    <t xml:space="preserve">сдача </t>
  </si>
  <si>
    <t>в аренду</t>
  </si>
  <si>
    <t>ВСЕГО</t>
  </si>
  <si>
    <t>прокат</t>
  </si>
  <si>
    <t>Прямые расходы,итого</t>
  </si>
  <si>
    <t>материалы</t>
  </si>
  <si>
    <t>Таблица 3. Структура расходов</t>
  </si>
  <si>
    <t>зарплата</t>
  </si>
  <si>
    <t>страхование</t>
  </si>
  <si>
    <t>Амортизация,% от выручки</t>
  </si>
  <si>
    <t>тыс. руб</t>
  </si>
  <si>
    <t>Косвенные расходы,% от выручки</t>
  </si>
  <si>
    <t>тыс. руб.</t>
  </si>
  <si>
    <t>услуги сторонних организаций</t>
  </si>
  <si>
    <t>прочие</t>
  </si>
  <si>
    <t>тыс. руб., из них</t>
  </si>
  <si>
    <t>% от выручки</t>
  </si>
  <si>
    <t>Прибыль,% от выручки</t>
  </si>
  <si>
    <t>Контроль  выручки, сумма</t>
  </si>
  <si>
    <t>Контроль выручки, исх. Данные</t>
  </si>
  <si>
    <t>бензин</t>
  </si>
  <si>
    <t>ремонт на стороне</t>
  </si>
  <si>
    <t>Показатели</t>
  </si>
  <si>
    <t>в т.ч. НДС</t>
  </si>
  <si>
    <t>Налог с продаж</t>
  </si>
  <si>
    <t>в т.ч.ЕСН</t>
  </si>
  <si>
    <t>налог на пользователей а/дорог</t>
  </si>
  <si>
    <t>арендная плата за землю</t>
  </si>
  <si>
    <t>1.Налоги,возмещаемые через цену</t>
  </si>
  <si>
    <t>в т.ч. налог на имущество</t>
  </si>
  <si>
    <t>налог на рекламу</t>
  </si>
  <si>
    <t>налог на прибыль</t>
  </si>
  <si>
    <t>5. Налоговые издержки, всего</t>
  </si>
  <si>
    <t>%%</t>
  </si>
  <si>
    <t>7.Коэффициент налоговой нагрузки</t>
  </si>
  <si>
    <t>Объем продаж</t>
  </si>
  <si>
    <t>Таблица 2. Состав расходов</t>
  </si>
  <si>
    <t>Косвенные расходы, итого</t>
  </si>
  <si>
    <t>Прибыль,тыс. руб.</t>
  </si>
  <si>
    <t>2. Налоги, возмещаемые через расходы, связанные с реализацией</t>
  </si>
  <si>
    <t xml:space="preserve">3. Налоги, возмещаемые через внереализационные расходы </t>
  </si>
  <si>
    <t>4. Налоги,возмещаемые за счет чистой прибыли</t>
  </si>
  <si>
    <t>Таблица 3. Расчет налоговой нагрузки</t>
  </si>
  <si>
    <t>исходные данные</t>
  </si>
  <si>
    <t>безнал</t>
  </si>
  <si>
    <t>Расчетная ставка косвенныйх налогов</t>
  </si>
  <si>
    <t>в налоговом учете, тыс. руб.</t>
  </si>
  <si>
    <t>отменен с 1.01.2003 года</t>
  </si>
  <si>
    <t>в данном примере не рассчитывается</t>
  </si>
  <si>
    <t>6. Объем продаж (с косвенными налогами)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</si>
</sst>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00"/>
    <numFmt numFmtId="168" formatCode="0.0"/>
    <numFmt numFmtId="169" formatCode="0.000000"/>
    <numFmt numFmtId="170" formatCode="0.00000"/>
  </numFmts>
  <fonts count="13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9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b/>
      <i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65" fontId="0" fillId="0" borderId="0" xfId="17" applyNumberFormat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9" fontId="0" fillId="0" borderId="0" xfId="0" applyNumberFormat="1" applyAlignment="1">
      <alignment/>
    </xf>
    <xf numFmtId="9" fontId="0" fillId="0" borderId="1" xfId="0" applyNumberFormat="1" applyBorder="1" applyAlignment="1">
      <alignment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165" fontId="1" fillId="0" borderId="1" xfId="17" applyNumberFormat="1" applyFont="1" applyBorder="1" applyAlignment="1">
      <alignment/>
    </xf>
    <xf numFmtId="165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68" fontId="0" fillId="0" borderId="1" xfId="0" applyNumberFormat="1" applyBorder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3" fontId="9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1" fontId="7" fillId="0" borderId="1" xfId="0" applyNumberFormat="1" applyFont="1" applyBorder="1" applyAlignment="1">
      <alignment/>
    </xf>
    <xf numFmtId="9" fontId="0" fillId="0" borderId="1" xfId="17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Border="1" applyAlignment="1">
      <alignment/>
    </xf>
    <xf numFmtId="1" fontId="0" fillId="0" borderId="1" xfId="0" applyNumberFormat="1" applyBorder="1" applyAlignment="1">
      <alignment/>
    </xf>
    <xf numFmtId="9" fontId="0" fillId="0" borderId="0" xfId="17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workbookViewId="0" topLeftCell="A41">
      <selection activeCell="A48" sqref="A48"/>
    </sheetView>
  </sheetViews>
  <sheetFormatPr defaultColWidth="9.00390625" defaultRowHeight="12.75"/>
  <cols>
    <col min="1" max="1" width="31.50390625" style="0" customWidth="1"/>
    <col min="2" max="2" width="10.375" style="0" customWidth="1"/>
    <col min="3" max="3" width="12.125" style="0" customWidth="1"/>
    <col min="5" max="5" width="7.625" style="0" customWidth="1"/>
    <col min="6" max="6" width="7.875" style="0" customWidth="1"/>
    <col min="8" max="8" width="9.50390625" style="0" bestFit="1" customWidth="1"/>
  </cols>
  <sheetData>
    <row r="1" ht="12.75">
      <c r="A1" t="s">
        <v>0</v>
      </c>
    </row>
    <row r="2" ht="12.75">
      <c r="A2" t="s">
        <v>1</v>
      </c>
    </row>
    <row r="4" spans="1:6" ht="12.75">
      <c r="A4" s="7" t="s">
        <v>2</v>
      </c>
      <c r="B4" s="7" t="s">
        <v>14</v>
      </c>
      <c r="C4" s="7" t="s">
        <v>15</v>
      </c>
      <c r="D4" s="7" t="s">
        <v>3</v>
      </c>
      <c r="E4" s="7" t="s">
        <v>6</v>
      </c>
      <c r="F4" s="7" t="s">
        <v>5</v>
      </c>
    </row>
    <row r="5" spans="1:6" ht="12.75">
      <c r="A5" s="7"/>
      <c r="B5" s="7" t="s">
        <v>12</v>
      </c>
      <c r="C5" s="7" t="s">
        <v>13</v>
      </c>
      <c r="D5" s="7" t="s">
        <v>4</v>
      </c>
      <c r="E5" s="7"/>
      <c r="F5" s="7"/>
    </row>
    <row r="6" spans="1:8" ht="12.75">
      <c r="A6" s="2" t="s">
        <v>7</v>
      </c>
      <c r="B6" s="3">
        <f>(36000*0.1-E6)/1.2</f>
        <v>2857.1428571428573</v>
      </c>
      <c r="C6" s="3">
        <f>(36000-36000*0.1)/1.2</f>
        <v>27000</v>
      </c>
      <c r="D6" s="3">
        <f>B6+C6</f>
        <v>29857.14285714286</v>
      </c>
      <c r="E6" s="4">
        <f>36000*0.1/1.05*0.05</f>
        <v>171.42857142857144</v>
      </c>
      <c r="F6" s="3">
        <f>D6*0.2</f>
        <v>5971.4285714285725</v>
      </c>
      <c r="H6" s="1"/>
    </row>
    <row r="7" spans="1:8" ht="12.75">
      <c r="A7" s="2" t="s">
        <v>8</v>
      </c>
      <c r="B7" s="3">
        <f>(64000*0.7-E7)/1.2</f>
        <v>35555.555555555555</v>
      </c>
      <c r="C7" s="3">
        <f>(64000-64000*0.7)/1.2</f>
        <v>16000</v>
      </c>
      <c r="D7" s="3">
        <f>B7+C7</f>
        <v>51555.555555555555</v>
      </c>
      <c r="E7" s="4">
        <f>64000*0.7/1.05*0.05</f>
        <v>2133.3333333333335</v>
      </c>
      <c r="F7" s="3">
        <f>D7*0.2</f>
        <v>10311.111111111111</v>
      </c>
      <c r="H7" s="1"/>
    </row>
    <row r="8" spans="1:8" ht="12.75">
      <c r="A8" s="2" t="s">
        <v>9</v>
      </c>
      <c r="B8" s="3">
        <f>(40000*0.6-E8)/1.2</f>
        <v>19047.61904761905</v>
      </c>
      <c r="C8" s="3">
        <f>(40000-40000*0.6)/1.2</f>
        <v>13333.333333333334</v>
      </c>
      <c r="D8" s="3">
        <f>B8+C8</f>
        <v>32380.95238095238</v>
      </c>
      <c r="E8" s="4">
        <f>40000*0.6/1.05*0.05</f>
        <v>1142.857142857143</v>
      </c>
      <c r="F8" s="3">
        <f>D8*0.2</f>
        <v>6476.190476190477</v>
      </c>
      <c r="H8" s="1"/>
    </row>
    <row r="9" spans="1:8" ht="12.75">
      <c r="A9" s="2" t="s">
        <v>10</v>
      </c>
      <c r="B9" s="3">
        <f>(7200-E9)/1.2</f>
        <v>5714.285714285715</v>
      </c>
      <c r="C9" s="3">
        <v>0</v>
      </c>
      <c r="D9" s="3">
        <f>B9+C9</f>
        <v>5714.285714285715</v>
      </c>
      <c r="E9" s="4">
        <f>7200/1.05*0.05</f>
        <v>342.8571428571429</v>
      </c>
      <c r="F9" s="3">
        <f>D9*0.2</f>
        <v>1142.857142857143</v>
      </c>
      <c r="H9" s="1"/>
    </row>
    <row r="10" spans="1:8" ht="12.75">
      <c r="A10" s="2" t="s">
        <v>11</v>
      </c>
      <c r="B10" s="3">
        <v>0</v>
      </c>
      <c r="C10" s="3">
        <f>72000/1.2</f>
        <v>60000</v>
      </c>
      <c r="D10" s="3">
        <f>B10+C10</f>
        <v>60000</v>
      </c>
      <c r="E10" s="4">
        <v>0</v>
      </c>
      <c r="F10" s="3">
        <f>72000/1.2*0.2</f>
        <v>12000</v>
      </c>
      <c r="H10" s="1"/>
    </row>
    <row r="11" spans="1:6" ht="12.75">
      <c r="A11" s="6" t="s">
        <v>3</v>
      </c>
      <c r="B11" s="5">
        <f>SUM(B6:B10)</f>
        <v>63174.60317460317</v>
      </c>
      <c r="C11" s="5">
        <f>SUM(C6:C10)</f>
        <v>116333.33333333334</v>
      </c>
      <c r="D11" s="5">
        <f>SUM(D6:D10)</f>
        <v>179507.9365079365</v>
      </c>
      <c r="E11" s="5">
        <f>SUM(E6:E10)</f>
        <v>3790.476190476191</v>
      </c>
      <c r="F11" s="5">
        <f>SUM(F6:F10)</f>
        <v>35901.58730158731</v>
      </c>
    </row>
    <row r="12" spans="5:6" ht="12.75">
      <c r="E12" s="8">
        <f>E11/D11</f>
        <v>0.021115925369174997</v>
      </c>
      <c r="F12" s="8">
        <f>F11/D11</f>
        <v>0.20000000000000004</v>
      </c>
    </row>
    <row r="13" ht="12.75">
      <c r="A13" t="s">
        <v>16</v>
      </c>
    </row>
    <row r="14" spans="1:7" ht="12.75">
      <c r="A14" s="9" t="s">
        <v>2</v>
      </c>
      <c r="B14" s="7" t="s">
        <v>3</v>
      </c>
      <c r="C14" s="2" t="s">
        <v>17</v>
      </c>
      <c r="D14" s="2" t="s">
        <v>19</v>
      </c>
      <c r="E14" s="2"/>
      <c r="F14" s="2"/>
      <c r="G14" s="2"/>
    </row>
    <row r="15" spans="1:7" ht="12.75">
      <c r="A15" s="9"/>
      <c r="B15" s="7" t="s">
        <v>4</v>
      </c>
      <c r="C15" s="2" t="s">
        <v>18</v>
      </c>
      <c r="D15" s="2" t="s">
        <v>20</v>
      </c>
      <c r="E15" s="2" t="s">
        <v>21</v>
      </c>
      <c r="F15" s="2" t="s">
        <v>22</v>
      </c>
      <c r="G15" s="2" t="s">
        <v>23</v>
      </c>
    </row>
    <row r="16" spans="1:7" ht="12.75">
      <c r="A16" s="10" t="s">
        <v>7</v>
      </c>
      <c r="B16" s="3">
        <f>D6</f>
        <v>29857.14285714286</v>
      </c>
      <c r="C16" s="3">
        <f>B16*53/100</f>
        <v>15824.285714285716</v>
      </c>
      <c r="D16" s="2"/>
      <c r="E16" s="2"/>
      <c r="F16" s="2"/>
      <c r="G16" s="2"/>
    </row>
    <row r="17" spans="1:7" ht="12.75">
      <c r="A17" s="10" t="s">
        <v>8</v>
      </c>
      <c r="B17" s="3">
        <f>D7</f>
        <v>51555.555555555555</v>
      </c>
      <c r="C17" s="3">
        <f>B17*83/100</f>
        <v>42791.11111111111</v>
      </c>
      <c r="D17" s="2"/>
      <c r="E17" s="2"/>
      <c r="F17" s="2"/>
      <c r="G17" s="2"/>
    </row>
    <row r="18" spans="1:7" ht="12.75">
      <c r="A18" s="10" t="s">
        <v>9</v>
      </c>
      <c r="B18" s="3">
        <f>D8</f>
        <v>32380.95238095238</v>
      </c>
      <c r="C18" s="3">
        <f>B18*93/100</f>
        <v>30114.285714285714</v>
      </c>
      <c r="D18" s="2"/>
      <c r="E18" s="2"/>
      <c r="F18" s="2"/>
      <c r="G18" s="2"/>
    </row>
    <row r="19" spans="1:7" ht="12.75">
      <c r="A19" s="10" t="s">
        <v>10</v>
      </c>
      <c r="B19" s="3">
        <f>D9</f>
        <v>5714.285714285715</v>
      </c>
      <c r="C19" s="3">
        <f>B19*73/100</f>
        <v>4171.428571428572</v>
      </c>
      <c r="D19" s="2"/>
      <c r="E19" s="2"/>
      <c r="F19" s="2"/>
      <c r="G19" s="2"/>
    </row>
    <row r="20" spans="1:7" ht="12.75">
      <c r="A20" s="10" t="s">
        <v>11</v>
      </c>
      <c r="B20" s="3">
        <f>D10</f>
        <v>60000</v>
      </c>
      <c r="C20" s="3">
        <f>B20*0/100</f>
        <v>0</v>
      </c>
      <c r="D20" s="2"/>
      <c r="E20" s="2"/>
      <c r="F20" s="2"/>
      <c r="G20" s="2"/>
    </row>
    <row r="21" spans="1:7" ht="12.75">
      <c r="A21" s="11" t="s">
        <v>3</v>
      </c>
      <c r="B21" s="5">
        <f>SUM(B16:B20)</f>
        <v>179507.9365079365</v>
      </c>
      <c r="C21" s="3">
        <f>SUM(C16:C20)</f>
        <v>92901.11111111111</v>
      </c>
      <c r="D21" s="2"/>
      <c r="E21" s="2"/>
      <c r="F21" s="2"/>
      <c r="G21" s="2"/>
    </row>
    <row r="22" spans="1:7" ht="12.75">
      <c r="A22" s="2" t="s">
        <v>24</v>
      </c>
      <c r="B22" s="16">
        <f>C21/B21</f>
        <v>0.5175320541161906</v>
      </c>
      <c r="C22" s="13">
        <v>0.53</v>
      </c>
      <c r="D22" s="13">
        <v>0.83</v>
      </c>
      <c r="E22" s="13">
        <v>0.93</v>
      </c>
      <c r="F22" s="2">
        <v>73</v>
      </c>
      <c r="G22" s="2">
        <v>0</v>
      </c>
    </row>
    <row r="23" spans="2:3" ht="12.75">
      <c r="B23" s="12"/>
      <c r="C23" s="12"/>
    </row>
    <row r="24" spans="1:7" ht="12.75">
      <c r="A24" s="6" t="s">
        <v>35</v>
      </c>
      <c r="B24" s="2" t="s">
        <v>32</v>
      </c>
      <c r="C24" s="2" t="s">
        <v>26</v>
      </c>
      <c r="D24" s="2" t="s">
        <v>27</v>
      </c>
      <c r="E24" s="2" t="s">
        <v>27</v>
      </c>
      <c r="F24" s="2" t="s">
        <v>29</v>
      </c>
      <c r="G24" s="2" t="s">
        <v>31</v>
      </c>
    </row>
    <row r="25" spans="1:7" ht="12.75">
      <c r="A25" s="2"/>
      <c r="B25" s="2" t="s">
        <v>25</v>
      </c>
      <c r="C25" s="2" t="s">
        <v>25</v>
      </c>
      <c r="D25" s="2" t="s">
        <v>25</v>
      </c>
      <c r="E25" s="2" t="s">
        <v>28</v>
      </c>
      <c r="F25" s="2" t="s">
        <v>30</v>
      </c>
      <c r="G25" s="2"/>
    </row>
    <row r="26" spans="1:8" ht="12.75">
      <c r="A26" s="20" t="s">
        <v>33</v>
      </c>
      <c r="B26" s="21">
        <f>B16*B27/100</f>
        <v>15824.285714285716</v>
      </c>
      <c r="C26" s="21">
        <f>B17*C27/100</f>
        <v>42791.11111111111</v>
      </c>
      <c r="D26" s="21">
        <f>B18*D27/100</f>
        <v>30114.285714285714</v>
      </c>
      <c r="E26" s="21">
        <f>B19*73/100</f>
        <v>4171.428571428572</v>
      </c>
      <c r="F26" s="21">
        <f>D10*0/100</f>
        <v>0</v>
      </c>
      <c r="G26" s="21">
        <f>SUM(B26:F26)</f>
        <v>92901.11111111111</v>
      </c>
      <c r="H26" s="15"/>
    </row>
    <row r="27" spans="1:33" ht="12.75">
      <c r="A27" s="22" t="s">
        <v>45</v>
      </c>
      <c r="B27" s="23">
        <v>53</v>
      </c>
      <c r="C27" s="23">
        <v>83</v>
      </c>
      <c r="D27" s="23">
        <v>93</v>
      </c>
      <c r="E27" s="23">
        <v>73</v>
      </c>
      <c r="F27" s="23"/>
      <c r="G27" s="24">
        <f>G26/B21*100</f>
        <v>51.753205411619064</v>
      </c>
      <c r="H27" s="18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</row>
    <row r="28" spans="1:33" ht="12.75">
      <c r="A28" s="31" t="s">
        <v>34</v>
      </c>
      <c r="B28" s="32">
        <f>B26*4/100</f>
        <v>632.9714285714286</v>
      </c>
      <c r="C28" s="32">
        <f>C26*55/100</f>
        <v>23535.11111111111</v>
      </c>
      <c r="D28" s="32">
        <f>D26*90/100</f>
        <v>27102.85714285714</v>
      </c>
      <c r="E28" s="32">
        <f>E26*80/100</f>
        <v>3337.1428571428573</v>
      </c>
      <c r="F28" s="32"/>
      <c r="G28" s="34">
        <f aca="true" t="shared" si="0" ref="G28:G33">SUM(B28:F28)</f>
        <v>54608.08253968254</v>
      </c>
      <c r="H28" s="18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</row>
    <row r="29" spans="1:33" ht="12.75">
      <c r="A29" s="31" t="s">
        <v>49</v>
      </c>
      <c r="B29" s="32">
        <f>B26*13/100</f>
        <v>2057.157142857143</v>
      </c>
      <c r="C29" s="32"/>
      <c r="D29" s="32"/>
      <c r="E29" s="32"/>
      <c r="F29" s="32"/>
      <c r="G29" s="34">
        <f t="shared" si="0"/>
        <v>2057.157142857143</v>
      </c>
      <c r="H29" s="18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</row>
    <row r="30" spans="1:7" ht="12.75">
      <c r="A30" s="33" t="s">
        <v>50</v>
      </c>
      <c r="B30" s="32">
        <f>B26*24/100</f>
        <v>3797.8285714285716</v>
      </c>
      <c r="C30" s="32"/>
      <c r="D30" s="32"/>
      <c r="E30" s="32"/>
      <c r="F30" s="32"/>
      <c r="G30" s="34">
        <f t="shared" si="0"/>
        <v>3797.8285714285716</v>
      </c>
    </row>
    <row r="31" spans="1:7" ht="12.75">
      <c r="A31" s="31" t="s">
        <v>36</v>
      </c>
      <c r="B31" s="32">
        <f>B26*49/100</f>
        <v>7753.9000000000015</v>
      </c>
      <c r="C31" s="32">
        <f>C26*45/100</f>
        <v>19256</v>
      </c>
      <c r="D31" s="32">
        <f>D26*10/100</f>
        <v>3011.4285714285716</v>
      </c>
      <c r="E31" s="32">
        <f>E26*20/100</f>
        <v>834.2857142857143</v>
      </c>
      <c r="F31" s="32"/>
      <c r="G31" s="34">
        <f t="shared" si="0"/>
        <v>30855.614285714288</v>
      </c>
    </row>
    <row r="32" spans="1:7" ht="12.75">
      <c r="A32" s="31" t="s">
        <v>22</v>
      </c>
      <c r="B32" s="32"/>
      <c r="C32" s="32"/>
      <c r="D32" s="32"/>
      <c r="E32" s="32"/>
      <c r="F32" s="32"/>
      <c r="G32" s="34">
        <f t="shared" si="0"/>
        <v>0</v>
      </c>
    </row>
    <row r="33" spans="1:7" ht="12.75">
      <c r="A33" s="31" t="s">
        <v>37</v>
      </c>
      <c r="B33" s="32">
        <f>B26*10/100</f>
        <v>1582.4285714285716</v>
      </c>
      <c r="C33" s="32"/>
      <c r="D33" s="32"/>
      <c r="E33" s="32"/>
      <c r="F33" s="32"/>
      <c r="G33" s="34">
        <f t="shared" si="0"/>
        <v>1582.4285714285716</v>
      </c>
    </row>
    <row r="34" spans="1:7" ht="12.75">
      <c r="A34" s="20" t="s">
        <v>38</v>
      </c>
      <c r="B34" s="3">
        <v>7</v>
      </c>
      <c r="C34" s="3">
        <v>2</v>
      </c>
      <c r="D34" s="3">
        <v>1</v>
      </c>
      <c r="E34" s="3">
        <v>1</v>
      </c>
      <c r="F34" s="3">
        <v>2</v>
      </c>
      <c r="G34" s="25">
        <f>G35/B21*100</f>
        <v>2.5217685029622423</v>
      </c>
    </row>
    <row r="35" spans="1:7" ht="12.75">
      <c r="A35" s="2" t="s">
        <v>39</v>
      </c>
      <c r="B35" s="21">
        <f>B16*B34/100</f>
        <v>2090</v>
      </c>
      <c r="C35" s="21">
        <f>C17*C34/100</f>
        <v>855.8222222222222</v>
      </c>
      <c r="D35" s="21">
        <f>B18*D34/100</f>
        <v>323.8095238095238</v>
      </c>
      <c r="E35" s="21">
        <f>B19*E34/100</f>
        <v>57.142857142857146</v>
      </c>
      <c r="F35" s="21">
        <f>B20*F34/100</f>
        <v>1200</v>
      </c>
      <c r="G35" s="21">
        <f>SUM(B35:F35)</f>
        <v>4526.774603174603</v>
      </c>
    </row>
    <row r="36" spans="1:8" ht="12.75">
      <c r="A36" s="20" t="s">
        <v>40</v>
      </c>
      <c r="B36" s="2">
        <v>31</v>
      </c>
      <c r="C36" s="2">
        <v>10</v>
      </c>
      <c r="D36" s="2">
        <v>3</v>
      </c>
      <c r="E36" s="2">
        <v>17</v>
      </c>
      <c r="F36" s="2">
        <v>71</v>
      </c>
      <c r="G36" s="26">
        <f>G37/B21*100</f>
        <v>32.84207268547175</v>
      </c>
      <c r="H36" s="17"/>
    </row>
    <row r="37" spans="1:7" ht="12.75">
      <c r="A37" s="2" t="s">
        <v>44</v>
      </c>
      <c r="B37" s="27">
        <f>B16*B36/100</f>
        <v>9255.714285714286</v>
      </c>
      <c r="C37" s="27">
        <f>B17*C36/100</f>
        <v>5155.555555555556</v>
      </c>
      <c r="D37" s="27">
        <f>B18*D36/100</f>
        <v>971.4285714285714</v>
      </c>
      <c r="E37" s="27">
        <f>B19*E36/100</f>
        <v>971.4285714285714</v>
      </c>
      <c r="F37" s="27">
        <f>B20*F36/100</f>
        <v>42600</v>
      </c>
      <c r="G37" s="27">
        <f>SUM(B37:F37)</f>
        <v>58954.12698412698</v>
      </c>
    </row>
    <row r="38" spans="1:9" ht="12.75">
      <c r="A38" s="2" t="s">
        <v>34</v>
      </c>
      <c r="B38" s="3">
        <f>B37*0.105</f>
        <v>971.85</v>
      </c>
      <c r="C38" s="3">
        <f>C37-(C39+C40+C41+C42)</f>
        <v>104.65777777777839</v>
      </c>
      <c r="D38" s="3"/>
      <c r="E38" s="3"/>
      <c r="F38" s="3">
        <f>F37*0.113</f>
        <v>4813.8</v>
      </c>
      <c r="G38" s="35">
        <f>G37*10/100</f>
        <v>5895.412698412698</v>
      </c>
      <c r="H38" s="1"/>
      <c r="I38" s="1"/>
    </row>
    <row r="39" spans="1:8" ht="12.75">
      <c r="A39" s="2" t="s">
        <v>42</v>
      </c>
      <c r="B39" s="3">
        <f>B37*0.2</f>
        <v>1851.1428571428573</v>
      </c>
      <c r="C39" s="3">
        <f>C37*0.15</f>
        <v>773.3333333333334</v>
      </c>
      <c r="D39" s="3">
        <f>D37*0.05</f>
        <v>48.57142857142858</v>
      </c>
      <c r="E39" s="3">
        <f>E37*0.05</f>
        <v>48.57142857142858</v>
      </c>
      <c r="F39" s="3">
        <f>F37*0.282</f>
        <v>12013.199999999999</v>
      </c>
      <c r="G39" s="35">
        <f>G37*25/100</f>
        <v>14738.531746031744</v>
      </c>
      <c r="H39" s="1"/>
    </row>
    <row r="40" spans="1:8" ht="12.75">
      <c r="A40" s="2" t="s">
        <v>36</v>
      </c>
      <c r="B40" s="3">
        <f>B37*0.405</f>
        <v>3748.564285714286</v>
      </c>
      <c r="C40" s="3">
        <f>C37*0.575</f>
        <v>2964.4444444444443</v>
      </c>
      <c r="D40" s="3">
        <f>D37*0.66</f>
        <v>641.1428571428572</v>
      </c>
      <c r="E40" s="3">
        <f>E37*0.66</f>
        <v>641.1428571428572</v>
      </c>
      <c r="F40" s="3">
        <f>F37*0.435</f>
        <v>18531</v>
      </c>
      <c r="G40" s="35">
        <f>G37*45/100</f>
        <v>26529.35714285714</v>
      </c>
      <c r="H40" s="1"/>
    </row>
    <row r="41" spans="1:7" ht="12.75">
      <c r="A41" s="2" t="s">
        <v>22</v>
      </c>
      <c r="B41" s="41">
        <f aca="true" t="shared" si="1" ref="B41:G41">B40*0.356</f>
        <v>1334.4888857142857</v>
      </c>
      <c r="C41" s="41">
        <f t="shared" si="1"/>
        <v>1055.342222222222</v>
      </c>
      <c r="D41" s="41">
        <f t="shared" si="1"/>
        <v>228.24685714285715</v>
      </c>
      <c r="E41" s="41">
        <f t="shared" si="1"/>
        <v>228.24685714285715</v>
      </c>
      <c r="F41" s="41">
        <f t="shared" si="1"/>
        <v>6597.036</v>
      </c>
      <c r="G41" s="37">
        <f t="shared" si="1"/>
        <v>9444.451142857142</v>
      </c>
    </row>
    <row r="42" spans="1:8" ht="12.75">
      <c r="A42" s="2" t="s">
        <v>43</v>
      </c>
      <c r="B42" s="41">
        <f>B37-(B38+B39+B40+B41)</f>
        <v>1349.6682571428564</v>
      </c>
      <c r="C42" s="41">
        <f>C37*0.05</f>
        <v>257.77777777777777</v>
      </c>
      <c r="D42" s="41">
        <f>D37-D39-D40-D41</f>
        <v>53.46742857142851</v>
      </c>
      <c r="E42" s="41">
        <f>E37-E40-E41-E39</f>
        <v>53.46742857142849</v>
      </c>
      <c r="F42" s="3">
        <f>F37-F38-F39-F40-F41</f>
        <v>644.9639999999999</v>
      </c>
      <c r="G42" s="37">
        <f>G37-G38-G39-G40-G41</f>
        <v>2346.3742539682535</v>
      </c>
      <c r="H42" s="42"/>
    </row>
    <row r="43" spans="1:8" ht="12.75">
      <c r="A43" s="20" t="s">
        <v>46</v>
      </c>
      <c r="B43" s="6">
        <v>9</v>
      </c>
      <c r="C43" s="6">
        <v>5</v>
      </c>
      <c r="D43" s="6">
        <v>3</v>
      </c>
      <c r="E43" s="6">
        <v>9</v>
      </c>
      <c r="F43" s="6">
        <v>27</v>
      </c>
      <c r="G43" s="28">
        <v>12.9</v>
      </c>
      <c r="H43" s="1"/>
    </row>
    <row r="44" spans="1:7" ht="12.75">
      <c r="A44" s="2" t="s">
        <v>41</v>
      </c>
      <c r="B44" s="3">
        <f>B16*B43/100</f>
        <v>2687.1428571428573</v>
      </c>
      <c r="C44" s="3">
        <f>B17*C43/100</f>
        <v>2577.777777777778</v>
      </c>
      <c r="D44" s="3">
        <f>B18*D43/100</f>
        <v>971.4285714285714</v>
      </c>
      <c r="E44" s="3">
        <f>B19*E43/100</f>
        <v>514.2857142857143</v>
      </c>
      <c r="F44" s="3">
        <f>B20*F43/100</f>
        <v>16200</v>
      </c>
      <c r="G44" s="3">
        <f>B21*G43/100</f>
        <v>23156.52380952381</v>
      </c>
    </row>
    <row r="45" spans="1:7" ht="12.75">
      <c r="A45" s="29" t="s">
        <v>47</v>
      </c>
      <c r="B45" s="30">
        <f aca="true" t="shared" si="2" ref="B45:G45">B26+B35+B37+B44</f>
        <v>29857.142857142862</v>
      </c>
      <c r="C45" s="30">
        <f t="shared" si="2"/>
        <v>51380.26666666667</v>
      </c>
      <c r="D45" s="30">
        <f t="shared" si="2"/>
        <v>32380.95238095238</v>
      </c>
      <c r="E45" s="30">
        <f t="shared" si="2"/>
        <v>5714.285714285715</v>
      </c>
      <c r="F45" s="30">
        <f t="shared" si="2"/>
        <v>60000</v>
      </c>
      <c r="G45" s="30">
        <f t="shared" si="2"/>
        <v>179538.53650793651</v>
      </c>
    </row>
    <row r="46" spans="1:7" ht="12.75">
      <c r="A46" s="29" t="s">
        <v>48</v>
      </c>
      <c r="B46" s="30">
        <v>29857</v>
      </c>
      <c r="C46" s="30">
        <v>51556</v>
      </c>
      <c r="D46" s="30">
        <v>32381</v>
      </c>
      <c r="E46" s="30">
        <v>5714</v>
      </c>
      <c r="F46" s="30">
        <v>60000</v>
      </c>
      <c r="G46" s="30">
        <v>179508</v>
      </c>
    </row>
    <row r="47" spans="1:7" ht="12.75">
      <c r="A47" s="2"/>
      <c r="B47" s="3"/>
      <c r="C47" s="2"/>
      <c r="D47" s="2"/>
      <c r="E47" s="2"/>
      <c r="F47" s="2"/>
      <c r="G47" s="3"/>
    </row>
    <row r="48" spans="1:7" ht="12.75">
      <c r="A48" s="2"/>
      <c r="B48" s="38"/>
      <c r="C48" s="38">
        <f>C41/C37</f>
        <v>0.20469999999999997</v>
      </c>
      <c r="D48" s="38">
        <f>D41/D37</f>
        <v>0.23496</v>
      </c>
      <c r="E48" s="38">
        <f>E41/E37</f>
        <v>0.23496</v>
      </c>
      <c r="F48" s="38">
        <f>F41/F37</f>
        <v>0.15486</v>
      </c>
      <c r="G48" s="38">
        <f>G41/G37</f>
        <v>0.16019999999999998</v>
      </c>
    </row>
    <row r="49" spans="1:7" ht="12.75">
      <c r="A49" s="2"/>
      <c r="B49" s="3"/>
      <c r="C49" s="38"/>
      <c r="D49" s="38">
        <f>D42/D37</f>
        <v>0.055039999999999936</v>
      </c>
      <c r="E49" s="38">
        <f>E42/E37</f>
        <v>0.055039999999999915</v>
      </c>
      <c r="F49" s="38">
        <f>F42/F37</f>
        <v>0.015139999999999999</v>
      </c>
      <c r="G49" s="38">
        <f>G42/G37</f>
        <v>0.039799999999999995</v>
      </c>
    </row>
    <row r="50" spans="1:7" ht="12.75">
      <c r="A50" s="2"/>
      <c r="B50" s="3"/>
      <c r="C50" s="2"/>
      <c r="D50" s="2"/>
      <c r="E50" s="3"/>
      <c r="F50" s="2"/>
      <c r="G50" s="2"/>
    </row>
    <row r="51" spans="1:7" ht="12.75">
      <c r="A51" s="2"/>
      <c r="B51" s="3"/>
      <c r="C51" s="2"/>
      <c r="D51" s="2"/>
      <c r="E51" s="2"/>
      <c r="F51" s="3"/>
      <c r="G51" s="2"/>
    </row>
    <row r="52" spans="1:7" ht="12.75">
      <c r="A52" s="2"/>
      <c r="B52" s="5"/>
      <c r="C52" s="2"/>
      <c r="D52" s="2"/>
      <c r="E52" s="2"/>
      <c r="F52" s="2"/>
      <c r="G52" s="3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D52" sqref="D52"/>
    </sheetView>
  </sheetViews>
  <sheetFormatPr defaultColWidth="9.00390625" defaultRowHeight="12.75"/>
  <cols>
    <col min="1" max="1" width="31.375" style="0" customWidth="1"/>
    <col min="2" max="2" width="15.75390625" style="0" customWidth="1"/>
    <col min="3" max="3" width="7.625" style="0" customWidth="1"/>
    <col min="4" max="4" width="8.375" style="0" customWidth="1"/>
    <col min="5" max="5" width="9.25390625" style="0" customWidth="1"/>
    <col min="6" max="6" width="10.50390625" style="0" customWidth="1"/>
    <col min="7" max="7" width="10.625" style="0" customWidth="1"/>
    <col min="9" max="9" width="13.625" style="0" customWidth="1"/>
  </cols>
  <sheetData>
    <row r="1" ht="12.75">
      <c r="A1" s="14" t="s">
        <v>0</v>
      </c>
    </row>
    <row r="2" spans="1:9" ht="12.75">
      <c r="A2" s="14" t="s">
        <v>1</v>
      </c>
      <c r="H2" s="40"/>
      <c r="I2" s="44"/>
    </row>
    <row r="3" spans="8:9" ht="12.75">
      <c r="H3" s="40"/>
      <c r="I3" s="40"/>
    </row>
    <row r="4" spans="1:9" ht="12.75">
      <c r="A4" s="7" t="s">
        <v>2</v>
      </c>
      <c r="B4" s="2" t="s">
        <v>64</v>
      </c>
      <c r="C4" s="2" t="s">
        <v>6</v>
      </c>
      <c r="D4" s="2" t="s">
        <v>5</v>
      </c>
      <c r="E4" s="7" t="s">
        <v>15</v>
      </c>
      <c r="F4" s="7" t="s">
        <v>14</v>
      </c>
      <c r="G4" s="9" t="s">
        <v>3</v>
      </c>
      <c r="H4" s="44"/>
      <c r="I4" s="40"/>
    </row>
    <row r="5" spans="1:9" ht="12.75">
      <c r="A5" s="7"/>
      <c r="B5" s="7" t="s">
        <v>72</v>
      </c>
      <c r="C5" s="7"/>
      <c r="D5" s="7"/>
      <c r="E5" s="7" t="s">
        <v>73</v>
      </c>
      <c r="F5" t="s">
        <v>12</v>
      </c>
      <c r="G5" s="9" t="s">
        <v>4</v>
      </c>
      <c r="H5" s="44"/>
      <c r="I5" s="45"/>
    </row>
    <row r="6" spans="1:9" ht="12.75">
      <c r="A6" s="2" t="s">
        <v>7</v>
      </c>
      <c r="B6" s="2"/>
      <c r="C6" s="2"/>
      <c r="D6" s="2"/>
      <c r="E6" s="2"/>
      <c r="F6" s="2"/>
      <c r="G6" s="10"/>
      <c r="H6" s="40"/>
      <c r="I6" s="40"/>
    </row>
    <row r="7" spans="1:9" ht="12.75">
      <c r="A7" s="2" t="s">
        <v>8</v>
      </c>
      <c r="B7" s="2"/>
      <c r="C7" s="2"/>
      <c r="D7" s="2"/>
      <c r="E7" s="2"/>
      <c r="F7" s="2"/>
      <c r="G7" s="10"/>
      <c r="H7" s="40"/>
      <c r="I7" s="40"/>
    </row>
    <row r="8" spans="1:9" ht="12.75">
      <c r="A8" s="2" t="s">
        <v>9</v>
      </c>
      <c r="B8" s="2"/>
      <c r="C8" s="2"/>
      <c r="D8" s="2"/>
      <c r="E8" s="2"/>
      <c r="F8" s="2"/>
      <c r="G8" s="10"/>
      <c r="H8" s="40"/>
      <c r="I8" s="40"/>
    </row>
    <row r="9" spans="1:9" ht="12.75">
      <c r="A9" s="2" t="s">
        <v>10</v>
      </c>
      <c r="B9" s="2"/>
      <c r="C9" s="2"/>
      <c r="D9" s="2"/>
      <c r="E9" s="2"/>
      <c r="F9" s="2"/>
      <c r="G9" s="10"/>
      <c r="H9" s="40"/>
      <c r="I9" s="40"/>
    </row>
    <row r="10" spans="1:9" ht="12.75">
      <c r="A10" s="2" t="s">
        <v>11</v>
      </c>
      <c r="B10" s="2"/>
      <c r="C10" s="2"/>
      <c r="D10" s="2"/>
      <c r="E10" s="2"/>
      <c r="F10" s="2"/>
      <c r="G10" s="10"/>
      <c r="H10" s="40"/>
      <c r="I10" s="40"/>
    </row>
    <row r="11" spans="1:9" ht="12.75">
      <c r="A11" s="6" t="s">
        <v>3</v>
      </c>
      <c r="B11" s="2"/>
      <c r="C11" s="2"/>
      <c r="D11" s="2"/>
      <c r="E11" s="2"/>
      <c r="F11" s="2"/>
      <c r="G11" s="10"/>
      <c r="H11" s="40"/>
      <c r="I11" s="40"/>
    </row>
    <row r="12" spans="1:9" ht="12.75">
      <c r="A12" s="2" t="s">
        <v>74</v>
      </c>
      <c r="B12" s="2" t="e">
        <f>(C12+D12)/B11</f>
        <v>#DIV/0!</v>
      </c>
      <c r="C12" s="2"/>
      <c r="D12" s="2"/>
      <c r="E12" s="2"/>
      <c r="F12" s="2"/>
      <c r="G12" s="10"/>
      <c r="H12" s="40"/>
      <c r="I12" s="40"/>
    </row>
    <row r="13" spans="1:9" ht="12.75">
      <c r="A13" s="40"/>
      <c r="B13" s="40"/>
      <c r="C13" s="40"/>
      <c r="D13" s="40"/>
      <c r="E13" s="40"/>
      <c r="F13" s="40"/>
      <c r="G13" s="40"/>
      <c r="H13" s="40"/>
      <c r="I13" s="40"/>
    </row>
    <row r="14" spans="1:9" ht="12.75">
      <c r="A14" s="6" t="s">
        <v>65</v>
      </c>
      <c r="B14" s="2" t="s">
        <v>32</v>
      </c>
      <c r="C14" s="2" t="s">
        <v>26</v>
      </c>
      <c r="D14" s="2" t="s">
        <v>27</v>
      </c>
      <c r="E14" s="2" t="s">
        <v>27</v>
      </c>
      <c r="F14" s="2" t="s">
        <v>29</v>
      </c>
      <c r="G14" s="10" t="s">
        <v>31</v>
      </c>
      <c r="H14" s="40"/>
      <c r="I14" s="40"/>
    </row>
    <row r="15" spans="1:9" ht="12.75">
      <c r="A15" s="2" t="s">
        <v>75</v>
      </c>
      <c r="B15" s="2" t="s">
        <v>25</v>
      </c>
      <c r="C15" s="2" t="s">
        <v>25</v>
      </c>
      <c r="D15" s="2" t="s">
        <v>25</v>
      </c>
      <c r="E15" s="2" t="s">
        <v>28</v>
      </c>
      <c r="F15" s="2" t="s">
        <v>30</v>
      </c>
      <c r="H15" s="40"/>
      <c r="I15" s="40"/>
    </row>
    <row r="16" spans="1:9" ht="12.75">
      <c r="A16" s="20" t="s">
        <v>33</v>
      </c>
      <c r="B16" s="2"/>
      <c r="C16" s="2"/>
      <c r="D16" s="2"/>
      <c r="E16" s="2"/>
      <c r="F16" s="2"/>
      <c r="G16" s="10"/>
      <c r="H16" s="40"/>
      <c r="I16" s="40"/>
    </row>
    <row r="17" spans="1:9" ht="12.75">
      <c r="A17" s="22" t="s">
        <v>19</v>
      </c>
      <c r="B17" s="2"/>
      <c r="C17" s="2"/>
      <c r="D17" s="2"/>
      <c r="E17" s="2"/>
      <c r="F17" s="2"/>
      <c r="G17" s="10"/>
      <c r="H17" s="40"/>
      <c r="I17" s="40"/>
    </row>
    <row r="18" spans="1:9" ht="12.75">
      <c r="A18" s="31"/>
      <c r="B18" s="2"/>
      <c r="C18" s="2"/>
      <c r="D18" s="2"/>
      <c r="E18" s="2"/>
      <c r="F18" s="2"/>
      <c r="G18" s="10"/>
      <c r="H18" s="40"/>
      <c r="I18" s="40"/>
    </row>
    <row r="19" spans="1:9" ht="12.75">
      <c r="A19" s="31"/>
      <c r="B19" s="2"/>
      <c r="C19" s="2"/>
      <c r="D19" s="2"/>
      <c r="E19" s="2"/>
      <c r="F19" s="2"/>
      <c r="G19" s="10"/>
      <c r="H19" s="40"/>
      <c r="I19" s="40"/>
    </row>
    <row r="20" spans="1:9" ht="12.75">
      <c r="A20" s="33"/>
      <c r="B20" s="2"/>
      <c r="C20" s="2"/>
      <c r="D20" s="2"/>
      <c r="E20" s="2"/>
      <c r="F20" s="2"/>
      <c r="G20" s="10"/>
      <c r="H20" s="40"/>
      <c r="I20" s="40"/>
    </row>
    <row r="21" spans="1:9" ht="12.75">
      <c r="A21" s="31"/>
      <c r="B21" s="2"/>
      <c r="C21" s="2"/>
      <c r="D21" s="2"/>
      <c r="E21" s="2"/>
      <c r="F21" s="2"/>
      <c r="G21" s="10"/>
      <c r="H21" s="40"/>
      <c r="I21" s="40"/>
    </row>
    <row r="22" spans="1:9" ht="12.75">
      <c r="A22" s="2"/>
      <c r="B22" s="2"/>
      <c r="C22" s="2"/>
      <c r="D22" s="2"/>
      <c r="E22" s="2"/>
      <c r="F22" s="2"/>
      <c r="G22" s="10"/>
      <c r="H22" s="40"/>
      <c r="I22" s="40"/>
    </row>
    <row r="23" spans="1:9" ht="12.75">
      <c r="A23" s="20" t="s">
        <v>66</v>
      </c>
      <c r="B23" s="2"/>
      <c r="C23" s="2"/>
      <c r="D23" s="2"/>
      <c r="E23" s="2"/>
      <c r="F23" s="2"/>
      <c r="G23" s="10"/>
      <c r="H23" s="40"/>
      <c r="I23" s="40"/>
    </row>
    <row r="24" spans="1:9" ht="12.75">
      <c r="A24" s="2" t="s">
        <v>19</v>
      </c>
      <c r="B24" s="2"/>
      <c r="C24" s="2"/>
      <c r="D24" s="2"/>
      <c r="E24" s="2"/>
      <c r="F24" s="2"/>
      <c r="G24" s="10"/>
      <c r="H24" s="40"/>
      <c r="I24" s="40"/>
    </row>
    <row r="25" spans="1:9" ht="12.75">
      <c r="A25" s="2"/>
      <c r="B25" s="2"/>
      <c r="C25" s="2"/>
      <c r="D25" s="2"/>
      <c r="E25" s="2"/>
      <c r="F25" s="2"/>
      <c r="G25" s="10"/>
      <c r="H25" s="40"/>
      <c r="I25" s="40"/>
    </row>
    <row r="26" spans="1:9" ht="12.75">
      <c r="A26" s="2"/>
      <c r="B26" s="2"/>
      <c r="C26" s="2"/>
      <c r="D26" s="2"/>
      <c r="E26" s="2"/>
      <c r="F26" s="2"/>
      <c r="G26" s="10"/>
      <c r="H26" s="40"/>
      <c r="I26" s="40"/>
    </row>
    <row r="27" spans="1:9" ht="12.75">
      <c r="A27" s="2"/>
      <c r="B27" s="2"/>
      <c r="C27" s="2"/>
      <c r="D27" s="2"/>
      <c r="E27" s="2"/>
      <c r="F27" s="2"/>
      <c r="G27" s="10"/>
      <c r="H27" s="40"/>
      <c r="I27" s="40"/>
    </row>
    <row r="28" spans="1:9" ht="12.75">
      <c r="A28" s="2"/>
      <c r="B28" s="2"/>
      <c r="C28" s="2"/>
      <c r="D28" s="2"/>
      <c r="E28" s="2"/>
      <c r="F28" s="2"/>
      <c r="G28" s="10"/>
      <c r="H28" s="40"/>
      <c r="I28" s="40"/>
    </row>
    <row r="29" spans="1:9" ht="12.75">
      <c r="A29" s="2"/>
      <c r="B29" s="2"/>
      <c r="C29" s="2"/>
      <c r="D29" s="2"/>
      <c r="E29" s="2"/>
      <c r="F29" s="2"/>
      <c r="G29" s="10"/>
      <c r="H29" s="40"/>
      <c r="I29" s="40"/>
    </row>
    <row r="30" spans="1:9" ht="12.75">
      <c r="A30" s="20" t="s">
        <v>67</v>
      </c>
      <c r="B30" s="2"/>
      <c r="C30" s="2"/>
      <c r="D30" s="2"/>
      <c r="E30" s="2"/>
      <c r="F30" s="2"/>
      <c r="G30" s="10"/>
      <c r="H30" s="40"/>
      <c r="I30" s="40"/>
    </row>
    <row r="31" spans="1:9" ht="12.75">
      <c r="A31" s="29" t="s">
        <v>47</v>
      </c>
      <c r="B31" s="2">
        <f>B16+B23+B30</f>
        <v>0</v>
      </c>
      <c r="C31" s="2">
        <f>C16+C23+C30</f>
        <v>0</v>
      </c>
      <c r="D31" s="2">
        <f>D16+D23+D30</f>
        <v>0</v>
      </c>
      <c r="E31" s="2">
        <f>E16+E23+E30</f>
        <v>0</v>
      </c>
      <c r="F31" s="2">
        <f>F16+F23+F30</f>
        <v>0</v>
      </c>
      <c r="G31" s="10">
        <f>G16+G23+G30</f>
        <v>0</v>
      </c>
      <c r="H31" s="40"/>
      <c r="I31" s="40"/>
    </row>
    <row r="32" spans="1:9" ht="12.75">
      <c r="A32" s="29"/>
      <c r="B32" s="2"/>
      <c r="C32" s="2"/>
      <c r="D32" s="2"/>
      <c r="E32" s="7"/>
      <c r="F32" s="7"/>
      <c r="G32" s="10"/>
      <c r="H32" s="40"/>
      <c r="I32" s="40"/>
    </row>
    <row r="33" spans="1:9" ht="12.75">
      <c r="A33" s="6" t="s">
        <v>71</v>
      </c>
      <c r="B33" s="6"/>
      <c r="C33" s="6"/>
      <c r="D33" s="6"/>
      <c r="E33" s="7"/>
      <c r="F33" s="7"/>
      <c r="G33" s="10"/>
      <c r="H33" s="40"/>
      <c r="I33" s="40"/>
    </row>
    <row r="34" spans="2:9" ht="12.75">
      <c r="B34" s="39" t="s">
        <v>32</v>
      </c>
      <c r="C34" s="39" t="s">
        <v>26</v>
      </c>
      <c r="D34" s="39" t="s">
        <v>27</v>
      </c>
      <c r="E34" s="39" t="s">
        <v>27</v>
      </c>
      <c r="F34" s="39" t="s">
        <v>29</v>
      </c>
      <c r="G34" s="46" t="s">
        <v>31</v>
      </c>
      <c r="H34" s="40"/>
      <c r="I34" s="40"/>
    </row>
    <row r="35" spans="1:9" ht="12.75">
      <c r="A35" s="6" t="s">
        <v>51</v>
      </c>
      <c r="B35" s="39" t="s">
        <v>25</v>
      </c>
      <c r="C35" s="39" t="s">
        <v>25</v>
      </c>
      <c r="D35" s="39" t="s">
        <v>25</v>
      </c>
      <c r="E35" s="39" t="s">
        <v>28</v>
      </c>
      <c r="F35" s="39" t="s">
        <v>30</v>
      </c>
      <c r="G35" s="46"/>
      <c r="H35" s="40"/>
      <c r="I35" s="40"/>
    </row>
    <row r="36" spans="1:9" ht="12.75">
      <c r="A36" s="29" t="s">
        <v>57</v>
      </c>
      <c r="B36" s="2"/>
      <c r="C36" s="2"/>
      <c r="D36" s="2"/>
      <c r="E36" s="2"/>
      <c r="F36" s="2"/>
      <c r="G36" s="10"/>
      <c r="H36" s="40"/>
      <c r="I36" s="40"/>
    </row>
    <row r="37" spans="1:9" ht="12.75">
      <c r="A37" s="36" t="s">
        <v>52</v>
      </c>
      <c r="B37" s="2"/>
      <c r="C37" s="2"/>
      <c r="D37" s="2"/>
      <c r="E37" s="2"/>
      <c r="F37" s="2"/>
      <c r="G37" s="10"/>
      <c r="H37" s="40"/>
      <c r="I37" s="40"/>
    </row>
    <row r="38" spans="1:9" ht="12.75">
      <c r="A38" s="36" t="s">
        <v>53</v>
      </c>
      <c r="B38" s="2"/>
      <c r="C38" s="2"/>
      <c r="D38" s="2"/>
      <c r="E38" s="2"/>
      <c r="F38" s="2"/>
      <c r="G38" s="10"/>
      <c r="H38" s="40"/>
      <c r="I38" s="40"/>
    </row>
    <row r="39" spans="1:9" ht="12.75">
      <c r="A39" s="29" t="s">
        <v>68</v>
      </c>
      <c r="B39" s="2"/>
      <c r="C39" s="2"/>
      <c r="D39" s="2"/>
      <c r="E39" s="2"/>
      <c r="F39" s="2"/>
      <c r="G39" s="10"/>
      <c r="H39" s="40"/>
      <c r="I39" s="40"/>
    </row>
    <row r="40" spans="1:9" ht="12.75">
      <c r="A40" s="36" t="s">
        <v>54</v>
      </c>
      <c r="B40" s="2"/>
      <c r="C40" s="2"/>
      <c r="D40" s="2"/>
      <c r="E40" s="2"/>
      <c r="F40" s="2"/>
      <c r="G40" s="10"/>
      <c r="H40" s="40"/>
      <c r="I40" s="40"/>
    </row>
    <row r="41" spans="1:9" ht="12.75">
      <c r="A41" s="36" t="s">
        <v>55</v>
      </c>
      <c r="B41" s="2" t="s">
        <v>76</v>
      </c>
      <c r="C41" s="2"/>
      <c r="D41" s="2"/>
      <c r="E41" s="2"/>
      <c r="F41" s="2"/>
      <c r="G41" s="10"/>
      <c r="H41" s="40"/>
      <c r="I41" s="40"/>
    </row>
    <row r="42" spans="1:9" ht="12.75">
      <c r="A42" s="36" t="s">
        <v>56</v>
      </c>
      <c r="B42" s="2" t="s">
        <v>77</v>
      </c>
      <c r="C42" s="2"/>
      <c r="D42" s="2"/>
      <c r="E42" s="2"/>
      <c r="F42" s="2"/>
      <c r="G42" s="10"/>
      <c r="H42" s="40"/>
      <c r="I42" s="40"/>
    </row>
    <row r="43" spans="1:9" ht="12.75">
      <c r="A43" s="29" t="s">
        <v>69</v>
      </c>
      <c r="B43" s="2"/>
      <c r="C43" s="2"/>
      <c r="D43" s="2"/>
      <c r="E43" s="2"/>
      <c r="F43" s="2"/>
      <c r="G43" s="10"/>
      <c r="H43" s="40"/>
      <c r="I43" s="40"/>
    </row>
    <row r="44" spans="1:9" ht="12.75">
      <c r="A44" s="36" t="s">
        <v>58</v>
      </c>
      <c r="B44" s="2" t="s">
        <v>77</v>
      </c>
      <c r="C44" s="2"/>
      <c r="D44" s="2"/>
      <c r="E44" s="2"/>
      <c r="F44" s="2"/>
      <c r="G44" s="2"/>
      <c r="H44" s="43"/>
      <c r="I44" s="43"/>
    </row>
    <row r="45" spans="1:9" ht="12.75">
      <c r="A45" s="36" t="s">
        <v>59</v>
      </c>
      <c r="B45" s="2" t="s">
        <v>77</v>
      </c>
      <c r="C45" s="2"/>
      <c r="D45" s="2"/>
      <c r="E45" s="2"/>
      <c r="F45" s="2"/>
      <c r="G45" s="2"/>
      <c r="H45" s="2"/>
      <c r="I45" s="2"/>
    </row>
    <row r="46" spans="1:9" ht="12.75">
      <c r="A46" s="29" t="s">
        <v>70</v>
      </c>
      <c r="B46" s="2"/>
      <c r="C46" s="2"/>
      <c r="D46" s="2"/>
      <c r="E46" s="2"/>
      <c r="F46" s="2"/>
      <c r="G46" s="2"/>
      <c r="H46" s="2"/>
      <c r="I46" s="2"/>
    </row>
    <row r="47" spans="1:9" ht="12.75">
      <c r="A47" s="2" t="s">
        <v>60</v>
      </c>
      <c r="B47" s="2"/>
      <c r="C47" s="2"/>
      <c r="D47" s="2"/>
      <c r="E47" s="2"/>
      <c r="F47" s="2"/>
      <c r="G47" s="2"/>
      <c r="H47" s="2"/>
      <c r="I47" s="2"/>
    </row>
    <row r="48" spans="1:9" ht="12.75">
      <c r="A48" s="29" t="s">
        <v>61</v>
      </c>
      <c r="B48" s="2">
        <f>B37+B38+B40+B47</f>
        <v>0</v>
      </c>
      <c r="C48" s="2">
        <f>C37+C38+C40+C47</f>
        <v>0</v>
      </c>
      <c r="D48" s="2">
        <f>D37+D38+D40+D47</f>
        <v>0</v>
      </c>
      <c r="E48" s="2">
        <f>E37+E38+E40+E47</f>
        <v>0</v>
      </c>
      <c r="F48" s="2">
        <f>F37+F38+F40+F47</f>
        <v>0</v>
      </c>
      <c r="G48" s="2">
        <f>G37+G38+G40+G47</f>
        <v>0</v>
      </c>
      <c r="H48" s="2"/>
      <c r="I48" s="2"/>
    </row>
    <row r="49" spans="1:9" ht="12.75">
      <c r="A49" s="2" t="s">
        <v>62</v>
      </c>
      <c r="B49" s="2"/>
      <c r="C49" s="2"/>
      <c r="D49" s="2"/>
      <c r="E49" s="2"/>
      <c r="F49" s="2"/>
      <c r="G49" s="2"/>
      <c r="H49" s="2"/>
      <c r="I49" s="2"/>
    </row>
    <row r="50" spans="1:9" ht="12.75">
      <c r="A50" s="29" t="s">
        <v>78</v>
      </c>
      <c r="B50" s="2"/>
      <c r="C50" s="2"/>
      <c r="D50" s="2"/>
      <c r="E50" s="2"/>
      <c r="F50" s="2"/>
      <c r="G50" s="2"/>
      <c r="H50" s="2"/>
      <c r="I50" s="2"/>
    </row>
    <row r="51" spans="1:9" ht="12.75">
      <c r="A51" s="29" t="s">
        <v>63</v>
      </c>
      <c r="B51" s="2" t="e">
        <f>B48/B50</f>
        <v>#DIV/0!</v>
      </c>
      <c r="C51" s="2" t="e">
        <f>C48/C50</f>
        <v>#DIV/0!</v>
      </c>
      <c r="D51" s="2" t="e">
        <f>D48/D50</f>
        <v>#DIV/0!</v>
      </c>
      <c r="E51" s="2" t="e">
        <f>E48/E50</f>
        <v>#DIV/0!</v>
      </c>
      <c r="F51" s="2" t="e">
        <f>F48/F50</f>
        <v>#DIV/0!</v>
      </c>
      <c r="G51" s="2" t="e">
        <f>G48/G50</f>
        <v>#DIV/0!</v>
      </c>
      <c r="H51" s="2"/>
      <c r="I51" s="2"/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Stepina</dc:creator>
  <cp:keywords/>
  <dc:description/>
  <cp:lastModifiedBy>Артем</cp:lastModifiedBy>
  <cp:lastPrinted>2002-03-26T08:34:21Z</cp:lastPrinted>
  <dcterms:created xsi:type="dcterms:W3CDTF">2002-03-10T16:48:14Z</dcterms:created>
  <dcterms:modified xsi:type="dcterms:W3CDTF">2003-02-26T18:54:18Z</dcterms:modified>
  <cp:category/>
  <cp:version/>
  <cp:contentType/>
  <cp:contentStatus/>
</cp:coreProperties>
</file>